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d2be964fc7b1c39/Excel/"/>
    </mc:Choice>
  </mc:AlternateContent>
  <xr:revisionPtr revIDLastSave="360" documentId="8_{4B74AD05-B388-4651-81F1-3BBAB683DDA8}" xr6:coauthVersionLast="47" xr6:coauthVersionMax="47" xr10:uidLastSave="{33C8048D-ED12-40FC-B069-0037350BE0C3}"/>
  <bookViews>
    <workbookView xWindow="-120" yWindow="-120" windowWidth="38640" windowHeight="21120" activeTab="5" xr2:uid="{27D3ED54-86F6-4FB4-B17B-71F8141641CE}"/>
  </bookViews>
  <sheets>
    <sheet name="Pizzateig" sheetId="3" r:id="rId1"/>
    <sheet name="Tomatensoße" sheetId="2" r:id="rId2"/>
    <sheet name="Käsemischung" sheetId="5" r:id="rId3"/>
    <sheet name="Einkaufsliste" sheetId="7" r:id="rId4"/>
    <sheet name="Bedarf" sheetId="1" r:id="rId5"/>
    <sheet name="Einkaufskalkulation" sheetId="4" r:id="rId6"/>
    <sheet name="Abrechnung" sheetId="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7" l="1"/>
  <c r="B21" i="7"/>
  <c r="B15" i="7"/>
  <c r="D4" i="5"/>
  <c r="F12" i="2"/>
  <c r="F11" i="2"/>
  <c r="F10" i="2"/>
  <c r="F9" i="2"/>
  <c r="F8" i="2"/>
  <c r="F7" i="2"/>
  <c r="F6" i="2"/>
  <c r="F5" i="2"/>
  <c r="F4" i="2"/>
  <c r="B25" i="7"/>
  <c r="B22" i="7"/>
  <c r="B23" i="7"/>
  <c r="B20" i="7"/>
  <c r="B18" i="7"/>
  <c r="B17" i="7"/>
  <c r="B16" i="7"/>
  <c r="B14" i="7"/>
  <c r="B13" i="7"/>
  <c r="B12" i="7"/>
  <c r="B11" i="7"/>
  <c r="B10" i="7"/>
  <c r="B9" i="7"/>
  <c r="B8" i="7"/>
  <c r="D5" i="5"/>
  <c r="D2" i="5"/>
  <c r="C1" i="7"/>
  <c r="B4" i="7" s="1"/>
  <c r="D2" i="2"/>
  <c r="D5" i="2" s="1"/>
  <c r="D4" i="2"/>
  <c r="C45" i="4"/>
  <c r="C6" i="6"/>
  <c r="B17" i="6"/>
  <c r="B11" i="6" s="1"/>
  <c r="B7" i="6"/>
  <c r="D6" i="6"/>
  <c r="B29" i="4"/>
  <c r="B38" i="4" s="1"/>
  <c r="D10" i="4"/>
  <c r="C8" i="1"/>
  <c r="C8" i="6" s="1"/>
  <c r="D8" i="1"/>
  <c r="F21" i="4" s="1"/>
  <c r="F7" i="4"/>
  <c r="F6" i="4"/>
  <c r="D8" i="4"/>
  <c r="E7" i="4"/>
  <c r="D7" i="4"/>
  <c r="E6" i="4"/>
  <c r="D6" i="4"/>
  <c r="B6" i="1"/>
  <c r="B6" i="6" s="1"/>
  <c r="C23" i="1"/>
  <c r="C22" i="1"/>
  <c r="C27" i="1"/>
  <c r="C28" i="1"/>
  <c r="C29" i="1"/>
  <c r="C30" i="1"/>
  <c r="C26" i="1"/>
  <c r="B17" i="1"/>
  <c r="B4" i="5"/>
  <c r="B14" i="1" s="1"/>
  <c r="B5" i="5"/>
  <c r="B15" i="1" s="1"/>
  <c r="B13" i="2"/>
  <c r="B16" i="2" s="1"/>
  <c r="B9" i="3"/>
  <c r="B11" i="1"/>
  <c r="F20" i="4"/>
  <c r="B22" i="6" l="1"/>
  <c r="B24" i="6" s="1"/>
  <c r="B25" i="6" s="1"/>
  <c r="B6" i="7"/>
  <c r="B3" i="7"/>
  <c r="B7" i="7"/>
  <c r="C10" i="2"/>
  <c r="B36" i="1" s="1"/>
  <c r="C9" i="2"/>
  <c r="B38" i="1" s="1"/>
  <c r="C7" i="2"/>
  <c r="C6" i="2"/>
  <c r="B33" i="1" s="1"/>
  <c r="C11" i="2"/>
  <c r="B35" i="1" s="1"/>
  <c r="C8" i="2"/>
  <c r="B37" i="1" s="1"/>
  <c r="C4" i="2"/>
  <c r="C13" i="2" s="1"/>
  <c r="C5" i="2"/>
  <c r="C12" i="2"/>
  <c r="B34" i="1" s="1"/>
  <c r="C17" i="1"/>
  <c r="F17" i="4"/>
  <c r="C36" i="1"/>
  <c r="C11" i="1"/>
  <c r="C12" i="1"/>
  <c r="C34" i="1"/>
  <c r="E24" i="4" s="1"/>
  <c r="C16" i="1"/>
  <c r="C14" i="1"/>
  <c r="C37" i="1"/>
  <c r="C35" i="1"/>
  <c r="F19" i="4"/>
  <c r="C13" i="1"/>
  <c r="C38" i="1"/>
  <c r="E16" i="4"/>
  <c r="E13" i="4"/>
  <c r="D8" i="6"/>
  <c r="C15" i="1"/>
  <c r="F18" i="4"/>
  <c r="B8" i="1"/>
  <c r="E9" i="4" s="1"/>
  <c r="F5" i="4"/>
  <c r="F8" i="4"/>
  <c r="F22" i="4"/>
  <c r="B37" i="4"/>
  <c r="F14" i="4"/>
  <c r="C33" i="1" l="1"/>
  <c r="F23" i="4" s="1"/>
  <c r="F24" i="4"/>
  <c r="F28" i="4"/>
  <c r="E28" i="4"/>
  <c r="E25" i="4"/>
  <c r="F25" i="4"/>
  <c r="B8" i="6"/>
  <c r="F27" i="4"/>
  <c r="E27" i="4"/>
  <c r="E12" i="4"/>
  <c r="F10" i="4"/>
  <c r="F15" i="4"/>
  <c r="E15" i="4"/>
  <c r="E22" i="4"/>
  <c r="E5" i="4"/>
  <c r="F9" i="4"/>
  <c r="F12" i="4"/>
  <c r="F11" i="4"/>
  <c r="E14" i="4"/>
  <c r="E11" i="4"/>
  <c r="E8" i="4"/>
  <c r="E10" i="4"/>
  <c r="E26" i="4"/>
  <c r="F26" i="4"/>
  <c r="B27" i="6"/>
  <c r="E23" i="4"/>
  <c r="B40" i="4"/>
  <c r="E29" i="4" l="1"/>
  <c r="B13" i="6" s="1"/>
  <c r="F29" i="4"/>
  <c r="B14" i="6" s="1"/>
  <c r="B15" i="6" l="1"/>
  <c r="B18" i="6" s="1"/>
  <c r="D18" i="6" s="1"/>
</calcChain>
</file>

<file path=xl/sharedStrings.xml><?xml version="1.0" encoding="utf-8"?>
<sst xmlns="http://schemas.openxmlformats.org/spreadsheetml/2006/main" count="179" uniqueCount="118">
  <si>
    <t>Anzahl Pizza Salami:</t>
  </si>
  <si>
    <t>Anzahl Pizza vegetarisch:</t>
  </si>
  <si>
    <t>Anzahl Bleche gesamt:</t>
  </si>
  <si>
    <t>Stücke je Blech:</t>
  </si>
  <si>
    <t>Zutaten je Salami-Blech:</t>
  </si>
  <si>
    <t>Zutaten je Veg.-Blech:</t>
  </si>
  <si>
    <t>Frischhefe</t>
  </si>
  <si>
    <t>Salz</t>
  </si>
  <si>
    <t>Olivenöl</t>
  </si>
  <si>
    <t>Gouda</t>
  </si>
  <si>
    <t>Emmentaler</t>
  </si>
  <si>
    <t>Oregano</t>
  </si>
  <si>
    <t>Gehackte Tomatensoße</t>
  </si>
  <si>
    <t>Paprika frisch, bunt</t>
  </si>
  <si>
    <t>Champignons</t>
  </si>
  <si>
    <t>Sommerwurst (Salami)</t>
  </si>
  <si>
    <t>Tomatenpaprika</t>
  </si>
  <si>
    <t>Brokkoli</t>
  </si>
  <si>
    <t>Mais</t>
  </si>
  <si>
    <t>Weihnachtsmarkt Pizzabacken</t>
  </si>
  <si>
    <t>Rote Zwiebeln</t>
  </si>
  <si>
    <t>Tomatenmark-Konzentrat</t>
  </si>
  <si>
    <t>je Blech</t>
  </si>
  <si>
    <t>gesamt</t>
  </si>
  <si>
    <t>Pfeffer</t>
  </si>
  <si>
    <t>Rezept Tomatensoße</t>
  </si>
  <si>
    <t>Rezept Pizzateig</t>
  </si>
  <si>
    <t>Weizenmehl 550er</t>
  </si>
  <si>
    <t>Hefe</t>
  </si>
  <si>
    <t>Wasser</t>
  </si>
  <si>
    <t>Zucker</t>
  </si>
  <si>
    <t>Gehackte Tomaten</t>
  </si>
  <si>
    <t>Tomatenmark</t>
  </si>
  <si>
    <t>Knoblauchzehen</t>
  </si>
  <si>
    <t>Paprika edelsüß</t>
  </si>
  <si>
    <t>Tomatensoße</t>
  </si>
  <si>
    <t>Zutaten allgem.</t>
  </si>
  <si>
    <t>Käsemischung</t>
  </si>
  <si>
    <t>Je Blech</t>
  </si>
  <si>
    <t>vom Grundrezept</t>
  </si>
  <si>
    <t>Stücke Pizza</t>
  </si>
  <si>
    <t>gesamt:</t>
  </si>
  <si>
    <t>Je 40x60-Blech</t>
  </si>
  <si>
    <t>Gesamt:</t>
  </si>
  <si>
    <t>je 40x60-Blech</t>
  </si>
  <si>
    <t>(gewünscht)</t>
  </si>
  <si>
    <t>(75 %)</t>
  </si>
  <si>
    <t>(25 %)</t>
  </si>
  <si>
    <t>Einkaufsübersicht</t>
  </si>
  <si>
    <t>Summe</t>
  </si>
  <si>
    <t>Mais aus der Dose</t>
  </si>
  <si>
    <t>Servietten (aro)</t>
  </si>
  <si>
    <t>je Veg.-Pizza</t>
  </si>
  <si>
    <t>Zutaten aufgeschlüsselt:</t>
  </si>
  <si>
    <t>Inhalt</t>
  </si>
  <si>
    <t>Knoblauch frisch</t>
  </si>
  <si>
    <t>vegetarisch</t>
  </si>
  <si>
    <t>Salami</t>
  </si>
  <si>
    <t>je Salamipizza</t>
  </si>
  <si>
    <t>Summe jeweils:</t>
  </si>
  <si>
    <t>Energie (Holz)</t>
  </si>
  <si>
    <t>Weihnachtsmarkt-Pizza Bürgergemeinschaft Wülferode</t>
  </si>
  <si>
    <t>Verkaufspreis je Stück 10x15</t>
  </si>
  <si>
    <t>Kosten Gesamt</t>
  </si>
  <si>
    <t>Einnahmen abzüglich "Schwund" (verbrannt, hingefallen…)</t>
  </si>
  <si>
    <t>Brokkoli x2</t>
  </si>
  <si>
    <t>wg. Strünken</t>
  </si>
  <si>
    <t>Verkaufseinnahmen:</t>
  </si>
  <si>
    <t>Zwischensumme:</t>
  </si>
  <si>
    <t>Pizza Salami</t>
  </si>
  <si>
    <t>Pizza vegetarisch</t>
  </si>
  <si>
    <t>Stückpreis im Durchschnitt</t>
  </si>
  <si>
    <t>Reingewinn je Stück</t>
  </si>
  <si>
    <t>entspr.</t>
  </si>
  <si>
    <t>(an Backhauskasse geben)</t>
  </si>
  <si>
    <t>Stückpreis 10x15 rechnerisch</t>
  </si>
  <si>
    <t>Zur Kalkulation vorab:</t>
  </si>
  <si>
    <t>Verkaufseinnahmen</t>
  </si>
  <si>
    <t>Ausgaben Einkauf</t>
  </si>
  <si>
    <t>theoretisch</t>
  </si>
  <si>
    <t>Gewinn / Stück</t>
  </si>
  <si>
    <t>Real verkaufte Stücke:</t>
  </si>
  <si>
    <t>Kalkulierte Menge:</t>
  </si>
  <si>
    <t>Pizzapappen 11x17</t>
  </si>
  <si>
    <t>Reinert Sportsalami</t>
  </si>
  <si>
    <t>Herausgerechnete Überschüsse*</t>
  </si>
  <si>
    <t>*Reste, die Webers wieder mit nach Hause genommen haben (überschlagen / gerundet)</t>
  </si>
  <si>
    <t>Auslagen Backhausbestand</t>
  </si>
  <si>
    <t>Pizzateig</t>
  </si>
  <si>
    <t>Nicht berechnete Stücke:</t>
  </si>
  <si>
    <t>(an Bürgergemeinschaft übergeben)</t>
  </si>
  <si>
    <t>Summe Einnahmen:</t>
  </si>
  <si>
    <t>Preise 2025:</t>
  </si>
  <si>
    <t>Trennspray</t>
  </si>
  <si>
    <t>(1) zuzüglich 1 kg zum Rezeptbedarf, 25 kg gekauft, 10 kg herausgerechnet</t>
  </si>
  <si>
    <t>(2) zuzüglich 500 g Rindenverschnitt</t>
  </si>
  <si>
    <t>–&gt; Gehackte Tomatensoße</t>
  </si>
  <si>
    <t>550er Weizenmehl (1)</t>
  </si>
  <si>
    <t>Gouda (2)</t>
  </si>
  <si>
    <t>Auslagen von Anne und Jochen:</t>
  </si>
  <si>
    <t>Gewinn theoretisch:</t>
  </si>
  <si>
    <t>In Kasse übergeben:</t>
  </si>
  <si>
    <t>einzukaufen</t>
  </si>
  <si>
    <t>Faktor</t>
  </si>
  <si>
    <t>Abrechnung 2025</t>
  </si>
  <si>
    <t>(Jochen)</t>
  </si>
  <si>
    <t>(bekommt Jochen erstattet)</t>
  </si>
  <si>
    <t>550er Weizenmehl</t>
  </si>
  <si>
    <t>Einkaufsliste (Bedarf)</t>
  </si>
  <si>
    <t>einschl. Rindenverschnitt</t>
  </si>
  <si>
    <t>10 Reserve</t>
  </si>
  <si>
    <t>5% Reserve</t>
  </si>
  <si>
    <t>Abtropfgewicht</t>
  </si>
  <si>
    <t>Einschl. Abfall</t>
  </si>
  <si>
    <t>Einschl. Strunk</t>
  </si>
  <si>
    <t>Rezept</t>
  </si>
  <si>
    <t>5 % Rindenverschnitt</t>
  </si>
  <si>
    <t>E-Preis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</si>
</sst>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0\ &quot;kg&quot;"/>
    <numFmt numFmtId="165" formatCode="0.000\ &quot;kg&quot;"/>
    <numFmt numFmtId="166" formatCode="#,##0.00\ &quot;€&quot;"/>
    <numFmt numFmtId="167" formatCode="0\ &quot;ml&quot;"/>
    <numFmt numFmtId="168" formatCode="0\ &quot;St.&quot;"/>
    <numFmt numFmtId="169" formatCode="#,##0.000\ &quot;€&quot;"/>
    <numFmt numFmtId="170" formatCode="0.00\ &quot;kg&quot;"/>
    <numFmt numFmtId="171" formatCode="#,##0\ &quot;kg&quot;"/>
    <numFmt numFmtId="172" formatCode="0\ &quot;g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165" fontId="1" fillId="0" borderId="0" xfId="0" applyNumberFormat="1" applyFont="1"/>
    <xf numFmtId="10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49" fontId="0" fillId="0" borderId="0" xfId="0" applyNumberFormat="1" applyAlignment="1">
      <alignment horizontal="center"/>
    </xf>
    <xf numFmtId="166" fontId="0" fillId="0" borderId="0" xfId="0" applyNumberFormat="1"/>
    <xf numFmtId="167" fontId="0" fillId="0" borderId="0" xfId="0" applyNumberFormat="1"/>
    <xf numFmtId="0" fontId="0" fillId="0" borderId="1" xfId="0" applyBorder="1"/>
    <xf numFmtId="166" fontId="0" fillId="0" borderId="1" xfId="0" applyNumberFormat="1" applyBorder="1"/>
    <xf numFmtId="0" fontId="0" fillId="0" borderId="2" xfId="0" applyBorder="1"/>
    <xf numFmtId="0" fontId="4" fillId="0" borderId="0" xfId="0" applyFont="1"/>
    <xf numFmtId="0" fontId="5" fillId="0" borderId="0" xfId="0" applyFont="1"/>
    <xf numFmtId="166" fontId="0" fillId="0" borderId="3" xfId="0" applyNumberFormat="1" applyBorder="1"/>
    <xf numFmtId="0" fontId="6" fillId="0" borderId="0" xfId="0" applyFont="1"/>
    <xf numFmtId="166" fontId="1" fillId="0" borderId="5" xfId="0" applyNumberFormat="1" applyFont="1" applyBorder="1"/>
    <xf numFmtId="0" fontId="0" fillId="0" borderId="4" xfId="0" applyBorder="1"/>
    <xf numFmtId="0" fontId="0" fillId="0" borderId="4" xfId="0" applyBorder="1" applyAlignment="1">
      <alignment horizontal="center"/>
    </xf>
    <xf numFmtId="166" fontId="0" fillId="0" borderId="4" xfId="0" applyNumberFormat="1" applyBorder="1" applyAlignment="1">
      <alignment horizontal="right"/>
    </xf>
    <xf numFmtId="169" fontId="0" fillId="0" borderId="4" xfId="0" applyNumberFormat="1" applyBorder="1"/>
    <xf numFmtId="169" fontId="0" fillId="0" borderId="4" xfId="0" applyNumberFormat="1" applyBorder="1" applyAlignment="1">
      <alignment horizontal="right"/>
    </xf>
    <xf numFmtId="166" fontId="0" fillId="0" borderId="4" xfId="0" applyNumberFormat="1" applyBorder="1"/>
    <xf numFmtId="168" fontId="0" fillId="0" borderId="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166" fontId="1" fillId="0" borderId="4" xfId="0" applyNumberFormat="1" applyFont="1" applyBorder="1"/>
    <xf numFmtId="166" fontId="1" fillId="0" borderId="7" xfId="0" applyNumberFormat="1" applyFont="1" applyBorder="1"/>
    <xf numFmtId="0" fontId="0" fillId="0" borderId="8" xfId="0" applyBorder="1"/>
    <xf numFmtId="166" fontId="0" fillId="0" borderId="8" xfId="0" applyNumberFormat="1" applyBorder="1"/>
    <xf numFmtId="169" fontId="0" fillId="0" borderId="9" xfId="0" applyNumberFormat="1" applyBorder="1"/>
    <xf numFmtId="0" fontId="8" fillId="0" borderId="0" xfId="0" applyFont="1"/>
    <xf numFmtId="0" fontId="7" fillId="0" borderId="0" xfId="0" applyFont="1" applyAlignment="1">
      <alignment horizontal="center"/>
    </xf>
    <xf numFmtId="166" fontId="1" fillId="0" borderId="0" xfId="0" applyNumberFormat="1" applyFont="1"/>
    <xf numFmtId="10" fontId="0" fillId="0" borderId="0" xfId="0" applyNumberFormat="1" applyAlignment="1">
      <alignment horizontal="center"/>
    </xf>
    <xf numFmtId="10" fontId="0" fillId="0" borderId="10" xfId="0" applyNumberFormat="1" applyBorder="1" applyAlignment="1">
      <alignment horizontal="center"/>
    </xf>
    <xf numFmtId="0" fontId="9" fillId="0" borderId="0" xfId="0" applyFont="1"/>
    <xf numFmtId="0" fontId="10" fillId="0" borderId="4" xfId="0" applyFont="1" applyBorder="1" applyAlignment="1">
      <alignment horizontal="center"/>
    </xf>
    <xf numFmtId="166" fontId="0" fillId="0" borderId="11" xfId="0" applyNumberFormat="1" applyBorder="1"/>
    <xf numFmtId="0" fontId="0" fillId="0" borderId="11" xfId="0" applyBorder="1"/>
    <xf numFmtId="0" fontId="0" fillId="0" borderId="6" xfId="0" applyBorder="1"/>
    <xf numFmtId="166" fontId="0" fillId="0" borderId="6" xfId="0" applyNumberFormat="1" applyBorder="1"/>
    <xf numFmtId="0" fontId="0" fillId="0" borderId="13" xfId="0" applyBorder="1"/>
    <xf numFmtId="166" fontId="0" fillId="0" borderId="13" xfId="0" applyNumberFormat="1" applyBorder="1"/>
    <xf numFmtId="0" fontId="1" fillId="0" borderId="12" xfId="0" applyFont="1" applyBorder="1"/>
    <xf numFmtId="166" fontId="1" fillId="0" borderId="14" xfId="0" applyNumberFormat="1" applyFont="1" applyBorder="1"/>
    <xf numFmtId="166" fontId="11" fillId="2" borderId="4" xfId="1" applyNumberFormat="1" applyBorder="1"/>
    <xf numFmtId="166" fontId="11" fillId="2" borderId="0" xfId="1" applyNumberFormat="1"/>
    <xf numFmtId="0" fontId="0" fillId="4" borderId="0" xfId="0" applyFill="1"/>
    <xf numFmtId="0" fontId="10" fillId="3" borderId="0" xfId="2" applyFont="1"/>
    <xf numFmtId="0" fontId="13" fillId="3" borderId="0" xfId="2" applyFont="1" applyAlignment="1">
      <alignment horizontal="left" vertical="top"/>
    </xf>
    <xf numFmtId="166" fontId="13" fillId="3" borderId="0" xfId="2" applyNumberFormat="1" applyFont="1"/>
    <xf numFmtId="168" fontId="0" fillId="0" borderId="0" xfId="0" applyNumberFormat="1"/>
    <xf numFmtId="170" fontId="0" fillId="0" borderId="0" xfId="0" applyNumberFormat="1"/>
    <xf numFmtId="171" fontId="0" fillId="0" borderId="0" xfId="0" applyNumberFormat="1"/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9" fontId="14" fillId="0" borderId="0" xfId="0" applyNumberFormat="1" applyFont="1"/>
    <xf numFmtId="172" fontId="0" fillId="0" borderId="0" xfId="0" applyNumberFormat="1"/>
    <xf numFmtId="0" fontId="1" fillId="0" borderId="0" xfId="0" applyFont="1" applyAlignment="1">
      <alignment horizontal="center" vertical="center"/>
    </xf>
    <xf numFmtId="0" fontId="12" fillId="3" borderId="0" xfId="2"/>
    <xf numFmtId="166" fontId="15" fillId="3" borderId="11" xfId="2" applyNumberFormat="1" applyFont="1" applyBorder="1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934F2-A49D-4321-914F-52BE2EE463AF}">
  <dimension ref="A1:C9"/>
  <sheetViews>
    <sheetView workbookViewId="0">
      <selection activeCell="B9" sqref="B9"/>
    </sheetView>
  </sheetViews>
  <sheetFormatPr baseColWidth="10" defaultColWidth="10.7109375" defaultRowHeight="15" x14ac:dyDescent="0.25"/>
  <cols>
    <col min="1" max="1" width="18.5703125" customWidth="1"/>
  </cols>
  <sheetData>
    <row r="1" spans="1:3" ht="15.75" x14ac:dyDescent="0.25">
      <c r="A1" s="9" t="s">
        <v>26</v>
      </c>
    </row>
    <row r="2" spans="1:3" x14ac:dyDescent="0.25">
      <c r="C2" s="5"/>
    </row>
    <row r="3" spans="1:3" x14ac:dyDescent="0.25">
      <c r="A3" t="s">
        <v>27</v>
      </c>
      <c r="B3" s="3">
        <v>1</v>
      </c>
    </row>
    <row r="4" spans="1:3" x14ac:dyDescent="0.25">
      <c r="A4" t="s">
        <v>29</v>
      </c>
      <c r="B4" s="3">
        <v>0.54</v>
      </c>
    </row>
    <row r="5" spans="1:3" x14ac:dyDescent="0.25">
      <c r="A5" t="s">
        <v>28</v>
      </c>
      <c r="B5" s="4">
        <v>4.2000000000000003E-2</v>
      </c>
    </row>
    <row r="6" spans="1:3" x14ac:dyDescent="0.25">
      <c r="A6" t="s">
        <v>7</v>
      </c>
      <c r="B6" s="3">
        <v>0.02</v>
      </c>
    </row>
    <row r="7" spans="1:3" x14ac:dyDescent="0.25">
      <c r="A7" t="s">
        <v>30</v>
      </c>
      <c r="B7" s="3">
        <v>0.02</v>
      </c>
    </row>
    <row r="8" spans="1:3" x14ac:dyDescent="0.25">
      <c r="A8" t="s">
        <v>8</v>
      </c>
      <c r="B8" s="3">
        <v>0.05</v>
      </c>
    </row>
    <row r="9" spans="1:3" x14ac:dyDescent="0.25">
      <c r="A9" s="10" t="s">
        <v>41</v>
      </c>
      <c r="B9" s="3">
        <f>SUM(B3:B8)</f>
        <v>1.6720000000000002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D79F7-733F-4A59-BEBA-341DEBB72584}">
  <dimension ref="A1:F16"/>
  <sheetViews>
    <sheetView zoomScale="145" zoomScaleNormal="145" workbookViewId="0">
      <selection activeCell="G4" sqref="G4"/>
    </sheetView>
  </sheetViews>
  <sheetFormatPr baseColWidth="10" defaultColWidth="10.7109375" defaultRowHeight="15" x14ac:dyDescent="0.25"/>
  <cols>
    <col min="1" max="1" width="18.5703125" customWidth="1"/>
    <col min="3" max="3" width="16.7109375" customWidth="1"/>
    <col min="4" max="4" width="14.5703125" customWidth="1"/>
  </cols>
  <sheetData>
    <row r="1" spans="1:6" ht="15.75" x14ac:dyDescent="0.25">
      <c r="A1" s="9" t="s">
        <v>25</v>
      </c>
    </row>
    <row r="2" spans="1:6" ht="15.75" x14ac:dyDescent="0.25">
      <c r="A2" s="9"/>
      <c r="D2">
        <f>Bedarf!B6+1</f>
        <v>15</v>
      </c>
      <c r="E2" t="s">
        <v>103</v>
      </c>
    </row>
    <row r="3" spans="1:6" x14ac:dyDescent="0.25">
      <c r="C3" s="8" t="s">
        <v>44</v>
      </c>
      <c r="D3" t="s">
        <v>102</v>
      </c>
      <c r="F3" s="69" t="s">
        <v>115</v>
      </c>
    </row>
    <row r="4" spans="1:6" x14ac:dyDescent="0.25">
      <c r="A4" t="s">
        <v>31</v>
      </c>
      <c r="B4" s="4">
        <v>0.4</v>
      </c>
      <c r="C4" s="4">
        <f>B4*B$16</f>
        <v>0.24281150159744405</v>
      </c>
      <c r="D4" s="4">
        <f>SUM(C4*D2)</f>
        <v>3.6421725239616607</v>
      </c>
      <c r="F4" s="62">
        <f>C4*D2</f>
        <v>3.6421725239616607</v>
      </c>
    </row>
    <row r="5" spans="1:6" x14ac:dyDescent="0.25">
      <c r="A5" t="s">
        <v>32</v>
      </c>
      <c r="B5" s="4">
        <v>0.14000000000000001</v>
      </c>
      <c r="C5" s="4">
        <f t="shared" ref="C5:C12" si="0">B5*B$16</f>
        <v>8.4984025559105419E-2</v>
      </c>
      <c r="D5" s="4">
        <f>SUM(C5*D2)</f>
        <v>1.2747603833865813</v>
      </c>
      <c r="F5" s="62">
        <f>C5*D2</f>
        <v>1.2747603833865813</v>
      </c>
    </row>
    <row r="6" spans="1:6" x14ac:dyDescent="0.25">
      <c r="A6" t="s">
        <v>8</v>
      </c>
      <c r="B6" s="4">
        <v>0.03</v>
      </c>
      <c r="C6" s="4">
        <f t="shared" si="0"/>
        <v>1.8210862619808303E-2</v>
      </c>
      <c r="D6" s="4"/>
      <c r="F6" s="68">
        <f>C6*D2*1000</f>
        <v>273.16293929712452</v>
      </c>
    </row>
    <row r="7" spans="1:6" x14ac:dyDescent="0.25">
      <c r="A7" t="s">
        <v>33</v>
      </c>
      <c r="B7" s="4">
        <v>1.4999999999999999E-2</v>
      </c>
      <c r="C7" s="4">
        <f t="shared" si="0"/>
        <v>9.1054313099041516E-3</v>
      </c>
      <c r="D7" s="4"/>
      <c r="F7" s="68">
        <f>C7*D2*1000</f>
        <v>136.58146964856226</v>
      </c>
    </row>
    <row r="8" spans="1:6" x14ac:dyDescent="0.25">
      <c r="A8" t="s">
        <v>11</v>
      </c>
      <c r="B8" s="4">
        <v>5.0000000000000001E-3</v>
      </c>
      <c r="C8" s="4">
        <f t="shared" si="0"/>
        <v>3.0351437699680508E-3</v>
      </c>
      <c r="D8" s="4"/>
      <c r="F8" s="68">
        <f>C8*D2*1000</f>
        <v>45.527156549520761</v>
      </c>
    </row>
    <row r="9" spans="1:6" x14ac:dyDescent="0.25">
      <c r="A9" t="s">
        <v>34</v>
      </c>
      <c r="B9" s="4">
        <v>3.0000000000000001E-3</v>
      </c>
      <c r="C9" s="4">
        <f t="shared" si="0"/>
        <v>1.8210862619808304E-3</v>
      </c>
      <c r="D9" s="4"/>
      <c r="F9" s="68">
        <f>C9*D2*1000</f>
        <v>27.316293929712458</v>
      </c>
    </row>
    <row r="10" spans="1:6" x14ac:dyDescent="0.25">
      <c r="A10" t="s">
        <v>30</v>
      </c>
      <c r="B10" s="4">
        <v>1.4999999999999999E-2</v>
      </c>
      <c r="C10" s="4">
        <f t="shared" si="0"/>
        <v>9.1054313099041516E-3</v>
      </c>
      <c r="D10" s="4"/>
      <c r="F10" s="68">
        <f>C10*D2*1000</f>
        <v>136.58146964856226</v>
      </c>
    </row>
    <row r="11" spans="1:6" x14ac:dyDescent="0.25">
      <c r="A11" t="s">
        <v>7</v>
      </c>
      <c r="B11" s="4">
        <v>1.4999999999999999E-2</v>
      </c>
      <c r="C11" s="4">
        <f t="shared" si="0"/>
        <v>9.1054313099041516E-3</v>
      </c>
      <c r="D11" s="4"/>
      <c r="F11" s="68">
        <f>C11*D2*1000</f>
        <v>136.58146964856226</v>
      </c>
    </row>
    <row r="12" spans="1:6" x14ac:dyDescent="0.25">
      <c r="A12" t="s">
        <v>24</v>
      </c>
      <c r="B12" s="4">
        <v>3.0000000000000001E-3</v>
      </c>
      <c r="C12" s="4">
        <f t="shared" si="0"/>
        <v>1.8210862619808304E-3</v>
      </c>
      <c r="D12" s="4"/>
      <c r="F12" s="68">
        <f>C12*D2*1000</f>
        <v>27.316293929712458</v>
      </c>
    </row>
    <row r="13" spans="1:6" x14ac:dyDescent="0.25">
      <c r="A13" s="10" t="s">
        <v>43</v>
      </c>
      <c r="B13" s="6">
        <f>SUM(B4:B12)</f>
        <v>0.62600000000000011</v>
      </c>
      <c r="C13" s="6">
        <f>SUM(C4:C12)</f>
        <v>0.38</v>
      </c>
      <c r="D13" s="4"/>
    </row>
    <row r="14" spans="1:6" x14ac:dyDescent="0.25">
      <c r="C14" s="4"/>
    </row>
    <row r="15" spans="1:6" x14ac:dyDescent="0.25">
      <c r="A15" t="s">
        <v>42</v>
      </c>
      <c r="B15" s="4">
        <v>0.38</v>
      </c>
      <c r="C15" s="4" t="s">
        <v>45</v>
      </c>
    </row>
    <row r="16" spans="1:6" x14ac:dyDescent="0.25">
      <c r="A16" t="s">
        <v>39</v>
      </c>
      <c r="B16" s="7">
        <f>(B15/B13)</f>
        <v>0.60702875399361012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2074B-E7C6-447A-8B10-0ADFB96D13A1}">
  <dimension ref="A1:E5"/>
  <sheetViews>
    <sheetView zoomScale="130" zoomScaleNormal="130" workbookViewId="0">
      <selection activeCell="D5" sqref="D5"/>
    </sheetView>
  </sheetViews>
  <sheetFormatPr baseColWidth="10" defaultColWidth="10.7109375" defaultRowHeight="15" x14ac:dyDescent="0.25"/>
  <cols>
    <col min="1" max="1" width="15.140625" customWidth="1"/>
  </cols>
  <sheetData>
    <row r="1" spans="1:5" ht="15.75" x14ac:dyDescent="0.25">
      <c r="A1" s="9" t="s">
        <v>37</v>
      </c>
    </row>
    <row r="2" spans="1:5" x14ac:dyDescent="0.25">
      <c r="A2" t="s">
        <v>38</v>
      </c>
      <c r="B2" s="4">
        <v>0.5</v>
      </c>
      <c r="D2">
        <f>Bedarf!B6+1</f>
        <v>15</v>
      </c>
      <c r="E2" t="s">
        <v>103</v>
      </c>
    </row>
    <row r="4" spans="1:5" x14ac:dyDescent="0.25">
      <c r="A4" t="s">
        <v>9</v>
      </c>
      <c r="B4" s="4">
        <f>SUM(B2*0.75)</f>
        <v>0.375</v>
      </c>
      <c r="C4" s="11" t="s">
        <v>46</v>
      </c>
      <c r="D4" s="62">
        <f>(B4*D2)+5%</f>
        <v>5.6749999999999998</v>
      </c>
      <c r="E4" t="s">
        <v>109</v>
      </c>
    </row>
    <row r="5" spans="1:5" x14ac:dyDescent="0.25">
      <c r="A5" t="s">
        <v>10</v>
      </c>
      <c r="B5" s="4">
        <f>SUM(B2*0.25)</f>
        <v>0.125</v>
      </c>
      <c r="C5" s="11" t="s">
        <v>47</v>
      </c>
      <c r="D5" s="62">
        <f>B5*D2</f>
        <v>1.875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1AF9-2973-43C9-9612-1B98EC6CBC36}">
  <dimension ref="A1:C25"/>
  <sheetViews>
    <sheetView zoomScale="160" zoomScaleNormal="160" workbookViewId="0">
      <selection activeCell="C25" sqref="C25"/>
    </sheetView>
  </sheetViews>
  <sheetFormatPr baseColWidth="10" defaultRowHeight="15" x14ac:dyDescent="0.25"/>
  <cols>
    <col min="1" max="1" width="21" customWidth="1"/>
    <col min="2" max="2" width="9.85546875" customWidth="1"/>
    <col min="3" max="3" width="14.140625" customWidth="1"/>
  </cols>
  <sheetData>
    <row r="1" spans="1:3" x14ac:dyDescent="0.25">
      <c r="A1" s="1" t="s">
        <v>108</v>
      </c>
      <c r="B1" s="65" t="s">
        <v>103</v>
      </c>
      <c r="C1" s="66">
        <f>Bedarf!B6+1</f>
        <v>15</v>
      </c>
    </row>
    <row r="2" spans="1:3" x14ac:dyDescent="0.25">
      <c r="A2" s="1"/>
      <c r="B2" s="65"/>
      <c r="C2" s="66"/>
    </row>
    <row r="3" spans="1:3" x14ac:dyDescent="0.25">
      <c r="A3" t="s">
        <v>83</v>
      </c>
      <c r="B3" s="61">
        <f>C1*Bedarf!B7+10</f>
        <v>250</v>
      </c>
      <c r="C3" s="64" t="s">
        <v>110</v>
      </c>
    </row>
    <row r="4" spans="1:3" x14ac:dyDescent="0.25">
      <c r="A4" t="s">
        <v>51</v>
      </c>
      <c r="B4" s="61">
        <f>C1*Bedarf!B7+10</f>
        <v>250</v>
      </c>
      <c r="C4" s="64" t="s">
        <v>110</v>
      </c>
    </row>
    <row r="5" spans="1:3" x14ac:dyDescent="0.25">
      <c r="A5" t="s">
        <v>93</v>
      </c>
      <c r="B5" s="61">
        <v>1</v>
      </c>
    </row>
    <row r="6" spans="1:3" x14ac:dyDescent="0.25">
      <c r="A6" t="s">
        <v>107</v>
      </c>
      <c r="B6" s="63">
        <f>C1</f>
        <v>15</v>
      </c>
    </row>
    <row r="7" spans="1:3" x14ac:dyDescent="0.25">
      <c r="A7" t="s">
        <v>6</v>
      </c>
      <c r="B7" s="61">
        <f>C1-1</f>
        <v>14</v>
      </c>
    </row>
    <row r="8" spans="1:3" x14ac:dyDescent="0.25">
      <c r="A8" t="s">
        <v>9</v>
      </c>
      <c r="B8" s="62">
        <f>Käsemischung!D4</f>
        <v>5.6749999999999998</v>
      </c>
      <c r="C8" s="64" t="s">
        <v>116</v>
      </c>
    </row>
    <row r="9" spans="1:3" x14ac:dyDescent="0.25">
      <c r="A9" t="s">
        <v>10</v>
      </c>
      <c r="B9" s="62">
        <f>Käsemischung!D5</f>
        <v>1.875</v>
      </c>
    </row>
    <row r="10" spans="1:3" x14ac:dyDescent="0.25">
      <c r="A10" t="s">
        <v>84</v>
      </c>
      <c r="B10" s="62">
        <f>(Bedarf!B22*Bedarf!B4)+5%</f>
        <v>1.33</v>
      </c>
      <c r="C10" s="67" t="s">
        <v>111</v>
      </c>
    </row>
    <row r="11" spans="1:3" x14ac:dyDescent="0.25">
      <c r="A11" t="s">
        <v>12</v>
      </c>
      <c r="B11" s="62">
        <f>Tomatensoße!D4</f>
        <v>3.6421725239616607</v>
      </c>
    </row>
    <row r="12" spans="1:3" x14ac:dyDescent="0.25">
      <c r="A12" t="s">
        <v>32</v>
      </c>
      <c r="B12" s="62">
        <f>Tomatensoße!D5</f>
        <v>1.2747603833865813</v>
      </c>
    </row>
    <row r="13" spans="1:3" x14ac:dyDescent="0.25">
      <c r="A13" t="s">
        <v>16</v>
      </c>
      <c r="B13" s="62">
        <f>(Bedarf!B23*Bedarf!B4)</f>
        <v>2.2400000000000002</v>
      </c>
      <c r="C13" s="64" t="s">
        <v>112</v>
      </c>
    </row>
    <row r="14" spans="1:3" x14ac:dyDescent="0.25">
      <c r="A14" t="s">
        <v>50</v>
      </c>
      <c r="B14" s="62">
        <f>(Bedarf!B29*Bedarf!B5)</f>
        <v>0.89999999999999991</v>
      </c>
      <c r="C14" s="64" t="s">
        <v>112</v>
      </c>
    </row>
    <row r="15" spans="1:3" x14ac:dyDescent="0.25">
      <c r="A15" t="s">
        <v>13</v>
      </c>
      <c r="B15" s="62">
        <f>(Bedarf!B26*Bedarf!B5)+15%</f>
        <v>1.53</v>
      </c>
      <c r="C15" s="64" t="s">
        <v>113</v>
      </c>
    </row>
    <row r="16" spans="1:3" x14ac:dyDescent="0.25">
      <c r="A16" t="s">
        <v>17</v>
      </c>
      <c r="B16" s="62">
        <f>(Bedarf!B28*Bedarf!B5)+35%</f>
        <v>1.79</v>
      </c>
      <c r="C16" s="64" t="s">
        <v>114</v>
      </c>
    </row>
    <row r="17" spans="1:3" x14ac:dyDescent="0.25">
      <c r="A17" t="s">
        <v>14</v>
      </c>
      <c r="B17" s="62">
        <f>(Bedarf!B27*Bedarf!B5)+3%</f>
        <v>0.63000000000000012</v>
      </c>
      <c r="C17" s="64" t="s">
        <v>113</v>
      </c>
    </row>
    <row r="18" spans="1:3" x14ac:dyDescent="0.25">
      <c r="A18" t="s">
        <v>20</v>
      </c>
      <c r="B18" s="62">
        <f>(Bedarf!B30*Bedarf!B5)+6%</f>
        <v>0.42</v>
      </c>
      <c r="C18" s="64" t="s">
        <v>113</v>
      </c>
    </row>
    <row r="19" spans="1:3" x14ac:dyDescent="0.25">
      <c r="A19" t="s">
        <v>55</v>
      </c>
      <c r="B19" s="61">
        <v>1</v>
      </c>
    </row>
    <row r="20" spans="1:3" x14ac:dyDescent="0.25">
      <c r="A20" t="s">
        <v>8</v>
      </c>
      <c r="B20" s="13">
        <f>(Pizzateig!B8+Tomatensoße!C6)*1000*Bedarf!B6</f>
        <v>954.9520766773162</v>
      </c>
    </row>
    <row r="21" spans="1:3" x14ac:dyDescent="0.25">
      <c r="A21" t="s">
        <v>24</v>
      </c>
      <c r="B21" s="4">
        <f>Tomatensoße!C12+0.002*Bedarf!B6+0.02</f>
        <v>4.9821086261980826E-2</v>
      </c>
    </row>
    <row r="22" spans="1:3" x14ac:dyDescent="0.25">
      <c r="A22" t="s">
        <v>7</v>
      </c>
      <c r="B22" s="4">
        <f>Pizzateig!B6+Tomatensoße!C11*Bedarf!B6</f>
        <v>0.14747603833865811</v>
      </c>
    </row>
    <row r="23" spans="1:3" x14ac:dyDescent="0.25">
      <c r="A23" t="s">
        <v>30</v>
      </c>
      <c r="B23" s="4">
        <f>Pizzateig!B7+Tomatensoße!C10*Bedarf!B6</f>
        <v>0.14747603833865811</v>
      </c>
    </row>
    <row r="24" spans="1:3" x14ac:dyDescent="0.25">
      <c r="A24" t="s">
        <v>11</v>
      </c>
      <c r="B24" s="4">
        <f>Tomatensoße!C8+0.003*Bedarf!B6+0.02</f>
        <v>6.5035143769968051E-2</v>
      </c>
    </row>
    <row r="25" spans="1:3" x14ac:dyDescent="0.25">
      <c r="A25" t="s">
        <v>34</v>
      </c>
      <c r="B25" s="4">
        <f>Tomatensoße!C9*Bedarf!B6</f>
        <v>2.5495207667731626E-2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C2720-F014-4601-A7EC-316C29C5474B}">
  <dimension ref="A1:D40"/>
  <sheetViews>
    <sheetView topLeftCell="A15" zoomScale="190" zoomScaleNormal="190" workbookViewId="0">
      <selection activeCell="C38" sqref="C38"/>
    </sheetView>
  </sheetViews>
  <sheetFormatPr baseColWidth="10" defaultColWidth="10.7109375" defaultRowHeight="15" x14ac:dyDescent="0.25"/>
  <cols>
    <col min="1" max="1" width="23.7109375" customWidth="1"/>
  </cols>
  <sheetData>
    <row r="1" spans="1:4" ht="18.75" x14ac:dyDescent="0.3">
      <c r="A1" s="2" t="s">
        <v>19</v>
      </c>
    </row>
    <row r="3" spans="1:4" x14ac:dyDescent="0.25">
      <c r="B3" s="8"/>
      <c r="C3" s="8" t="s">
        <v>57</v>
      </c>
      <c r="D3" s="8" t="s">
        <v>56</v>
      </c>
    </row>
    <row r="4" spans="1:4" x14ac:dyDescent="0.25">
      <c r="A4" t="s">
        <v>0</v>
      </c>
      <c r="B4" s="8">
        <v>8</v>
      </c>
      <c r="C4" s="8"/>
      <c r="D4" s="8"/>
    </row>
    <row r="5" spans="1:4" x14ac:dyDescent="0.25">
      <c r="A5" t="s">
        <v>1</v>
      </c>
      <c r="B5" s="8">
        <v>6</v>
      </c>
      <c r="C5" s="8"/>
      <c r="D5" s="8"/>
    </row>
    <row r="6" spans="1:4" x14ac:dyDescent="0.25">
      <c r="A6" s="1" t="s">
        <v>2</v>
      </c>
      <c r="B6" s="5">
        <f>SUM(B4:B5)</f>
        <v>14</v>
      </c>
      <c r="C6" s="8"/>
      <c r="D6" s="8"/>
    </row>
    <row r="7" spans="1:4" x14ac:dyDescent="0.25">
      <c r="A7" t="s">
        <v>3</v>
      </c>
      <c r="B7" s="8">
        <v>16</v>
      </c>
      <c r="C7" s="8"/>
      <c r="D7" s="8"/>
    </row>
    <row r="8" spans="1:4" x14ac:dyDescent="0.25">
      <c r="A8" s="1" t="s">
        <v>40</v>
      </c>
      <c r="B8" s="5">
        <f>B6*B7</f>
        <v>224</v>
      </c>
      <c r="C8" s="5">
        <f>B4*B7</f>
        <v>128</v>
      </c>
      <c r="D8" s="5">
        <f>B5*B7</f>
        <v>96</v>
      </c>
    </row>
    <row r="10" spans="1:4" x14ac:dyDescent="0.25">
      <c r="A10" s="1" t="s">
        <v>36</v>
      </c>
      <c r="B10" s="5" t="s">
        <v>22</v>
      </c>
      <c r="C10" s="5" t="s">
        <v>23</v>
      </c>
    </row>
    <row r="11" spans="1:4" x14ac:dyDescent="0.25">
      <c r="A11" t="s">
        <v>88</v>
      </c>
      <c r="B11" s="4">
        <f>Pizzateig!B9</f>
        <v>1.6720000000000002</v>
      </c>
      <c r="C11" s="4">
        <f>B6*B11</f>
        <v>23.408000000000001</v>
      </c>
    </row>
    <row r="12" spans="1:4" x14ac:dyDescent="0.25">
      <c r="A12" t="s">
        <v>6</v>
      </c>
      <c r="B12" s="4">
        <v>4.2000000000000003E-2</v>
      </c>
      <c r="C12" s="4">
        <f>B6*B12</f>
        <v>0.58800000000000008</v>
      </c>
    </row>
    <row r="13" spans="1:4" x14ac:dyDescent="0.25">
      <c r="A13" t="s">
        <v>24</v>
      </c>
      <c r="B13" s="4">
        <v>0.01</v>
      </c>
      <c r="C13" s="4">
        <f>B6*B13</f>
        <v>0.14000000000000001</v>
      </c>
    </row>
    <row r="14" spans="1:4" x14ac:dyDescent="0.25">
      <c r="A14" t="s">
        <v>9</v>
      </c>
      <c r="B14" s="4">
        <f>Käsemischung!B4</f>
        <v>0.375</v>
      </c>
      <c r="C14" s="4">
        <f>Käsemischung!B4*B6</f>
        <v>5.25</v>
      </c>
    </row>
    <row r="15" spans="1:4" x14ac:dyDescent="0.25">
      <c r="A15" t="s">
        <v>10</v>
      </c>
      <c r="B15" s="4">
        <f>Käsemischung!B5</f>
        <v>0.125</v>
      </c>
      <c r="C15" s="4">
        <f>Käsemischung!B5*B6</f>
        <v>1.75</v>
      </c>
    </row>
    <row r="16" spans="1:4" x14ac:dyDescent="0.25">
      <c r="A16" t="s">
        <v>11</v>
      </c>
      <c r="B16" s="4">
        <v>5.0000000000000001E-3</v>
      </c>
      <c r="C16" s="4">
        <f>B6*B16</f>
        <v>7.0000000000000007E-2</v>
      </c>
    </row>
    <row r="17" spans="1:3" x14ac:dyDescent="0.25">
      <c r="A17" s="57" t="s">
        <v>35</v>
      </c>
      <c r="B17" s="4">
        <f>Tomatensoße!B15</f>
        <v>0.38</v>
      </c>
      <c r="C17" s="4">
        <f>B6*B17</f>
        <v>5.32</v>
      </c>
    </row>
    <row r="18" spans="1:3" x14ac:dyDescent="0.25">
      <c r="A18" s="57" t="s">
        <v>96</v>
      </c>
      <c r="B18" s="4"/>
      <c r="C18" s="4"/>
    </row>
    <row r="19" spans="1:3" x14ac:dyDescent="0.25">
      <c r="A19" s="57"/>
      <c r="B19" s="4"/>
      <c r="C19" s="4"/>
    </row>
    <row r="21" spans="1:3" x14ac:dyDescent="0.25">
      <c r="A21" s="1" t="s">
        <v>4</v>
      </c>
    </row>
    <row r="22" spans="1:3" x14ac:dyDescent="0.25">
      <c r="A22" t="s">
        <v>15</v>
      </c>
      <c r="B22" s="4">
        <v>0.16</v>
      </c>
      <c r="C22" s="4">
        <f>B4*B22</f>
        <v>1.28</v>
      </c>
    </row>
    <row r="23" spans="1:3" x14ac:dyDescent="0.25">
      <c r="A23" t="s">
        <v>16</v>
      </c>
      <c r="B23" s="4">
        <v>0.28000000000000003</v>
      </c>
      <c r="C23" s="4">
        <f>B4*B23</f>
        <v>2.2400000000000002</v>
      </c>
    </row>
    <row r="24" spans="1:3" x14ac:dyDescent="0.25">
      <c r="B24" s="4"/>
      <c r="C24" s="4"/>
    </row>
    <row r="25" spans="1:3" s="1" customFormat="1" x14ac:dyDescent="0.25">
      <c r="A25" s="1" t="s">
        <v>5</v>
      </c>
      <c r="B25" s="6"/>
      <c r="C25" s="6"/>
    </row>
    <row r="26" spans="1:3" x14ac:dyDescent="0.25">
      <c r="A26" t="s">
        <v>13</v>
      </c>
      <c r="B26" s="4">
        <v>0.23</v>
      </c>
      <c r="C26" s="4">
        <f>$B$5*B26</f>
        <v>1.3800000000000001</v>
      </c>
    </row>
    <row r="27" spans="1:3" x14ac:dyDescent="0.25">
      <c r="A27" t="s">
        <v>14</v>
      </c>
      <c r="B27" s="4">
        <v>0.1</v>
      </c>
      <c r="C27" s="4">
        <f t="shared" ref="C27:C30" si="0">$B$5*B27</f>
        <v>0.60000000000000009</v>
      </c>
    </row>
    <row r="28" spans="1:3" x14ac:dyDescent="0.25">
      <c r="A28" t="s">
        <v>17</v>
      </c>
      <c r="B28" s="4">
        <v>0.24</v>
      </c>
      <c r="C28" s="4">
        <f t="shared" si="0"/>
        <v>1.44</v>
      </c>
    </row>
    <row r="29" spans="1:3" x14ac:dyDescent="0.25">
      <c r="A29" t="s">
        <v>18</v>
      </c>
      <c r="B29" s="4">
        <v>0.15</v>
      </c>
      <c r="C29" s="4">
        <f t="shared" si="0"/>
        <v>0.89999999999999991</v>
      </c>
    </row>
    <row r="30" spans="1:3" x14ac:dyDescent="0.25">
      <c r="A30" t="s">
        <v>20</v>
      </c>
      <c r="B30" s="4">
        <v>0.06</v>
      </c>
      <c r="C30" s="4">
        <f t="shared" si="0"/>
        <v>0.36</v>
      </c>
    </row>
    <row r="32" spans="1:3" x14ac:dyDescent="0.25">
      <c r="A32" s="1" t="s">
        <v>53</v>
      </c>
    </row>
    <row r="33" spans="1:4" x14ac:dyDescent="0.25">
      <c r="A33" t="s">
        <v>8</v>
      </c>
      <c r="B33" s="13">
        <f>(Pizzateig!B8+Tomatensoße!C6)*1000</f>
        <v>68.210862619808296</v>
      </c>
      <c r="C33" s="13">
        <f>(Pizzateig!B8+Tomatensoße!C6)*1000*Bedarf!B6</f>
        <v>954.9520766773162</v>
      </c>
    </row>
    <row r="34" spans="1:4" x14ac:dyDescent="0.25">
      <c r="A34" t="s">
        <v>24</v>
      </c>
      <c r="B34" s="4">
        <f>Tomatensoße!C12+0.002</f>
        <v>3.8210862619808307E-3</v>
      </c>
      <c r="C34" s="4">
        <f>Tomatensoße!C12+0.002*Bedarf!B6</f>
        <v>2.982108626198083E-2</v>
      </c>
    </row>
    <row r="35" spans="1:4" x14ac:dyDescent="0.25">
      <c r="A35" t="s">
        <v>7</v>
      </c>
      <c r="B35" s="4">
        <f>Pizzateig!B6+Tomatensoße!C11</f>
        <v>2.9105431309904152E-2</v>
      </c>
      <c r="C35" s="4">
        <f>Pizzateig!B6+Tomatensoße!C11*Bedarf!B6</f>
        <v>0.14747603833865811</v>
      </c>
    </row>
    <row r="36" spans="1:4" x14ac:dyDescent="0.25">
      <c r="A36" t="s">
        <v>30</v>
      </c>
      <c r="B36" s="4">
        <f>Pizzateig!B7+Tomatensoße!C10</f>
        <v>2.9105431309904152E-2</v>
      </c>
      <c r="C36" s="4">
        <f>Pizzateig!B7+Tomatensoße!C10*Bedarf!B6</f>
        <v>0.14747603833865811</v>
      </c>
    </row>
    <row r="37" spans="1:4" x14ac:dyDescent="0.25">
      <c r="A37" t="s">
        <v>11</v>
      </c>
      <c r="B37" s="4">
        <f>Tomatensoße!C8+0.003</f>
        <v>6.0351437699680509E-3</v>
      </c>
      <c r="C37" s="4">
        <f>Tomatensoße!C8+0.003*Bedarf!B6</f>
        <v>4.5035143769968054E-2</v>
      </c>
    </row>
    <row r="38" spans="1:4" x14ac:dyDescent="0.25">
      <c r="A38" t="s">
        <v>34</v>
      </c>
      <c r="B38" s="4">
        <f>Tomatensoße!C9</f>
        <v>1.8210862619808304E-3</v>
      </c>
      <c r="C38" s="4">
        <f>Tomatensoße!C9*Bedarf!B6</f>
        <v>2.5495207667731626E-2</v>
      </c>
    </row>
    <row r="39" spans="1:4" x14ac:dyDescent="0.25">
      <c r="A39" t="s">
        <v>65</v>
      </c>
      <c r="B39" s="4"/>
      <c r="C39" s="4"/>
      <c r="D39" t="s">
        <v>66</v>
      </c>
    </row>
    <row r="40" spans="1:4" x14ac:dyDescent="0.25">
      <c r="A40" t="s">
        <v>55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B31AD-81C9-49FC-9372-1C4E0449295F}">
  <dimension ref="A1:K46"/>
  <sheetViews>
    <sheetView tabSelected="1" topLeftCell="A12" zoomScale="174" workbookViewId="0">
      <selection activeCell="F37" sqref="F37"/>
    </sheetView>
  </sheetViews>
  <sheetFormatPr baseColWidth="10" defaultColWidth="10.7109375" defaultRowHeight="15" x14ac:dyDescent="0.25"/>
  <cols>
    <col min="1" max="1" width="26.5703125" customWidth="1"/>
    <col min="2" max="2" width="11.5703125" customWidth="1"/>
    <col min="3" max="3" width="9.85546875" customWidth="1"/>
    <col min="4" max="4" width="7.85546875" customWidth="1"/>
    <col min="5" max="5" width="13.28515625" customWidth="1"/>
    <col min="6" max="6" width="12.5703125" customWidth="1"/>
    <col min="8" max="8" width="25.85546875" customWidth="1"/>
  </cols>
  <sheetData>
    <row r="1" spans="1:11" ht="18.75" x14ac:dyDescent="0.3">
      <c r="A1" s="2" t="s">
        <v>48</v>
      </c>
      <c r="H1" s="1"/>
    </row>
    <row r="2" spans="1:11" ht="18.75" x14ac:dyDescent="0.3">
      <c r="A2" s="2"/>
      <c r="H2" s="1"/>
    </row>
    <row r="3" spans="1:11" x14ac:dyDescent="0.25">
      <c r="A3" s="1" t="s">
        <v>92</v>
      </c>
      <c r="H3" s="1"/>
    </row>
    <row r="4" spans="1:11" x14ac:dyDescent="0.25">
      <c r="A4" s="22"/>
      <c r="B4" s="23" t="s">
        <v>49</v>
      </c>
      <c r="C4" s="23" t="s">
        <v>54</v>
      </c>
      <c r="D4" s="23" t="s">
        <v>117</v>
      </c>
      <c r="E4" s="23" t="s">
        <v>58</v>
      </c>
      <c r="F4" s="23" t="s">
        <v>52</v>
      </c>
    </row>
    <row r="5" spans="1:11" x14ac:dyDescent="0.25">
      <c r="A5" s="22" t="s">
        <v>60</v>
      </c>
      <c r="B5" s="24">
        <v>0</v>
      </c>
      <c r="C5" s="23"/>
      <c r="D5" s="23"/>
      <c r="E5" s="25">
        <f>B5/Bedarf!B8</f>
        <v>0</v>
      </c>
      <c r="F5" s="26">
        <f>B5/Bedarf!B8</f>
        <v>0</v>
      </c>
      <c r="I5" s="8"/>
      <c r="K5" s="1"/>
    </row>
    <row r="6" spans="1:11" x14ac:dyDescent="0.25">
      <c r="A6" s="22" t="s">
        <v>83</v>
      </c>
      <c r="B6" s="55">
        <v>9.1509999999999998</v>
      </c>
      <c r="C6" s="28">
        <v>250</v>
      </c>
      <c r="D6" s="27">
        <f>B6/C6</f>
        <v>3.6603999999999998E-2</v>
      </c>
      <c r="E6" s="25">
        <f>B6/C6</f>
        <v>3.6603999999999998E-2</v>
      </c>
      <c r="F6" s="25">
        <f>B6/C6</f>
        <v>3.6603999999999998E-2</v>
      </c>
      <c r="I6" s="12"/>
      <c r="K6" s="12"/>
    </row>
    <row r="7" spans="1:11" x14ac:dyDescent="0.25">
      <c r="A7" s="22" t="s">
        <v>51</v>
      </c>
      <c r="B7" s="56">
        <v>4.99</v>
      </c>
      <c r="C7" s="28">
        <v>500</v>
      </c>
      <c r="D7" s="27">
        <f>B7/C7</f>
        <v>9.980000000000001E-3</v>
      </c>
      <c r="E7" s="25">
        <f>B7/C7</f>
        <v>9.980000000000001E-3</v>
      </c>
      <c r="F7" s="25">
        <f>B7/C7</f>
        <v>9.980000000000001E-3</v>
      </c>
      <c r="I7" s="12"/>
      <c r="K7" s="12"/>
    </row>
    <row r="8" spans="1:11" x14ac:dyDescent="0.25">
      <c r="A8" s="22" t="s">
        <v>93</v>
      </c>
      <c r="B8" s="56">
        <v>9.51</v>
      </c>
      <c r="C8" s="29"/>
      <c r="D8" s="27">
        <f>B8/5</f>
        <v>1.9019999999999999</v>
      </c>
      <c r="E8" s="25">
        <f>D8/Bedarf!B8</f>
        <v>8.4910714285714277E-3</v>
      </c>
      <c r="F8" s="25">
        <f>D8/Bedarf!B8</f>
        <v>8.4910714285714277E-3</v>
      </c>
      <c r="I8" s="12"/>
      <c r="K8" s="12"/>
    </row>
    <row r="9" spans="1:11" x14ac:dyDescent="0.25">
      <c r="A9" s="22" t="s">
        <v>97</v>
      </c>
      <c r="B9" s="55">
        <v>10.46</v>
      </c>
      <c r="C9" s="29"/>
      <c r="D9" s="27"/>
      <c r="E9" s="25">
        <f>B9/Bedarf!$B$8</f>
        <v>4.6696428571428576E-2</v>
      </c>
      <c r="F9" s="25">
        <f>B9/Bedarf!$B$8</f>
        <v>4.6696428571428576E-2</v>
      </c>
      <c r="I9" s="12"/>
      <c r="K9" s="12"/>
    </row>
    <row r="10" spans="1:11" x14ac:dyDescent="0.25">
      <c r="A10" s="22" t="s">
        <v>6</v>
      </c>
      <c r="B10" s="55">
        <v>2.73</v>
      </c>
      <c r="C10" s="28">
        <v>15</v>
      </c>
      <c r="D10" s="27">
        <f>B10/C10</f>
        <v>0.182</v>
      </c>
      <c r="E10" s="25">
        <f>B10/Bedarf!$B$8</f>
        <v>1.21875E-2</v>
      </c>
      <c r="F10" s="25">
        <f>B10/Bedarf!$B$8</f>
        <v>1.21875E-2</v>
      </c>
      <c r="I10" s="12"/>
      <c r="K10" s="12"/>
    </row>
    <row r="11" spans="1:11" x14ac:dyDescent="0.25">
      <c r="A11" s="22" t="s">
        <v>98</v>
      </c>
      <c r="B11" s="55">
        <v>73.47</v>
      </c>
      <c r="C11" s="29"/>
      <c r="D11" s="27"/>
      <c r="E11" s="25">
        <f>B11/Bedarf!$B$8</f>
        <v>0.32799107142857142</v>
      </c>
      <c r="F11" s="25">
        <f>B11/Bedarf!$B$8</f>
        <v>0.32799107142857142</v>
      </c>
      <c r="I11" s="12"/>
      <c r="K11" s="12"/>
    </row>
    <row r="12" spans="1:11" x14ac:dyDescent="0.25">
      <c r="A12" s="22" t="s">
        <v>10</v>
      </c>
      <c r="B12" s="55">
        <v>10.87</v>
      </c>
      <c r="C12" s="29"/>
      <c r="D12" s="27"/>
      <c r="E12" s="25">
        <f>B12/Bedarf!$B$8</f>
        <v>4.852678571428571E-2</v>
      </c>
      <c r="F12" s="25">
        <f>B12/Bedarf!$B$8</f>
        <v>4.852678571428571E-2</v>
      </c>
      <c r="I12" s="12"/>
      <c r="K12" s="12"/>
    </row>
    <row r="13" spans="1:11" x14ac:dyDescent="0.25">
      <c r="A13" s="22" t="s">
        <v>84</v>
      </c>
      <c r="B13" s="55">
        <v>25.78</v>
      </c>
      <c r="C13" s="29"/>
      <c r="D13" s="27"/>
      <c r="E13" s="25">
        <f>B13/Bedarf!$C$8</f>
        <v>0.20140625000000001</v>
      </c>
      <c r="F13" s="39"/>
      <c r="I13" s="12"/>
      <c r="K13" s="12"/>
    </row>
    <row r="14" spans="1:11" x14ac:dyDescent="0.25">
      <c r="A14" s="22" t="s">
        <v>12</v>
      </c>
      <c r="B14" s="55">
        <v>6.944</v>
      </c>
      <c r="C14" s="29"/>
      <c r="D14" s="27"/>
      <c r="E14" s="25">
        <f>B14/Bedarf!$B$8</f>
        <v>3.1E-2</v>
      </c>
      <c r="F14" s="25">
        <f>B14/Bedarf!$B$8</f>
        <v>3.1E-2</v>
      </c>
      <c r="I14" s="12"/>
      <c r="K14" s="12"/>
    </row>
    <row r="15" spans="1:11" x14ac:dyDescent="0.25">
      <c r="A15" s="22" t="s">
        <v>21</v>
      </c>
      <c r="B15" s="55">
        <v>4.01</v>
      </c>
      <c r="C15" s="29"/>
      <c r="D15" s="27"/>
      <c r="E15" s="25">
        <f>B15/Bedarf!$B$8</f>
        <v>1.7901785714285714E-2</v>
      </c>
      <c r="F15" s="25">
        <f>B15/Bedarf!$B$8</f>
        <v>1.7901785714285714E-2</v>
      </c>
      <c r="I15" s="12"/>
      <c r="K15" s="12"/>
    </row>
    <row r="16" spans="1:11" x14ac:dyDescent="0.25">
      <c r="A16" s="22" t="s">
        <v>16</v>
      </c>
      <c r="B16" s="55">
        <v>12.82</v>
      </c>
      <c r="C16" s="29"/>
      <c r="D16" s="27"/>
      <c r="E16" s="25">
        <f>B16/Bedarf!$C$8</f>
        <v>0.10015625</v>
      </c>
      <c r="F16" s="39"/>
      <c r="I16" s="12"/>
      <c r="K16" s="12"/>
    </row>
    <row r="17" spans="1:11" x14ac:dyDescent="0.25">
      <c r="A17" s="22" t="s">
        <v>50</v>
      </c>
      <c r="B17" s="55">
        <v>2.5499999999999998</v>
      </c>
      <c r="C17" s="29"/>
      <c r="D17" s="27"/>
      <c r="E17" s="39"/>
      <c r="F17" s="25">
        <f>B17/Bedarf!$D$8</f>
        <v>2.6562499999999999E-2</v>
      </c>
      <c r="I17" s="12"/>
      <c r="K17" s="12"/>
    </row>
    <row r="18" spans="1:11" x14ac:dyDescent="0.25">
      <c r="A18" s="22" t="s">
        <v>13</v>
      </c>
      <c r="B18" s="55">
        <v>5.77</v>
      </c>
      <c r="C18" s="29"/>
      <c r="D18" s="27"/>
      <c r="E18" s="39"/>
      <c r="F18" s="25">
        <f>B18/Bedarf!$D$8</f>
        <v>6.010416666666666E-2</v>
      </c>
      <c r="I18" s="12"/>
      <c r="K18" s="12"/>
    </row>
    <row r="19" spans="1:11" x14ac:dyDescent="0.25">
      <c r="A19" s="22" t="s">
        <v>17</v>
      </c>
      <c r="B19" s="55">
        <v>3.8</v>
      </c>
      <c r="C19" s="29"/>
      <c r="D19" s="27"/>
      <c r="E19" s="39"/>
      <c r="F19" s="25">
        <f>B19/Bedarf!$D$8</f>
        <v>3.9583333333333331E-2</v>
      </c>
      <c r="I19" s="12"/>
      <c r="K19" s="12"/>
    </row>
    <row r="20" spans="1:11" x14ac:dyDescent="0.25">
      <c r="A20" s="22" t="s">
        <v>14</v>
      </c>
      <c r="B20" s="55">
        <v>3.98</v>
      </c>
      <c r="C20" s="29"/>
      <c r="D20" s="27"/>
      <c r="E20" s="39"/>
      <c r="F20" s="25">
        <f>B20/Bedarf!$D$8</f>
        <v>4.1458333333333333E-2</v>
      </c>
      <c r="I20" s="12"/>
      <c r="K20" s="12"/>
    </row>
    <row r="21" spans="1:11" x14ac:dyDescent="0.25">
      <c r="A21" s="22" t="s">
        <v>20</v>
      </c>
      <c r="B21" s="55">
        <v>0.99</v>
      </c>
      <c r="C21" s="29"/>
      <c r="D21" s="27"/>
      <c r="E21" s="39"/>
      <c r="F21" s="25">
        <f>B21/Bedarf!$D$8</f>
        <v>1.03125E-2</v>
      </c>
      <c r="I21" s="12"/>
      <c r="K21" s="12"/>
    </row>
    <row r="22" spans="1:11" x14ac:dyDescent="0.25">
      <c r="A22" s="22" t="s">
        <v>55</v>
      </c>
      <c r="B22" s="55">
        <v>1.19</v>
      </c>
      <c r="C22" s="29"/>
      <c r="D22" s="27"/>
      <c r="E22" s="25">
        <f>B22/Bedarf!$B$8</f>
        <v>5.3124999999999995E-3</v>
      </c>
      <c r="F22" s="25">
        <f>B22/Bedarf!$B$8</f>
        <v>5.3124999999999995E-3</v>
      </c>
      <c r="I22" s="12"/>
      <c r="K22" s="12"/>
    </row>
    <row r="23" spans="1:11" x14ac:dyDescent="0.25">
      <c r="A23" s="22" t="s">
        <v>8</v>
      </c>
      <c r="B23" s="55">
        <v>7.27</v>
      </c>
      <c r="C23" s="30">
        <v>1000</v>
      </c>
      <c r="D23" s="27"/>
      <c r="E23" s="25">
        <f>B23/C23*Bedarf!$C33/Bedarf!$B$8</f>
        <v>3.0993310702875393E-2</v>
      </c>
      <c r="F23" s="25">
        <f>B23/C23*Bedarf!$C33/Bedarf!$B$8</f>
        <v>3.0993310702875393E-2</v>
      </c>
      <c r="I23" s="12"/>
      <c r="J23" s="12"/>
      <c r="K23" s="12"/>
    </row>
    <row r="24" spans="1:11" x14ac:dyDescent="0.25">
      <c r="A24" s="22" t="s">
        <v>24</v>
      </c>
      <c r="B24" s="27">
        <v>0</v>
      </c>
      <c r="C24" s="31">
        <v>0.5</v>
      </c>
      <c r="D24" s="27"/>
      <c r="E24" s="25">
        <f>B24/C24*Bedarf!$C34/Bedarf!$B$8</f>
        <v>0</v>
      </c>
      <c r="F24" s="25">
        <f>B24/C24*Bedarf!$C34/Bedarf!$B$8</f>
        <v>0</v>
      </c>
      <c r="I24" s="12"/>
      <c r="J24" s="12"/>
      <c r="K24" s="12"/>
    </row>
    <row r="25" spans="1:11" x14ac:dyDescent="0.25">
      <c r="A25" s="22" t="s">
        <v>7</v>
      </c>
      <c r="B25" s="27">
        <v>0</v>
      </c>
      <c r="C25" s="31">
        <v>0.5</v>
      </c>
      <c r="D25" s="27"/>
      <c r="E25" s="25">
        <f>B25/C25*Bedarf!$C35/Bedarf!$B$8</f>
        <v>0</v>
      </c>
      <c r="F25" s="25">
        <f>B25/C25*Bedarf!$C35/Bedarf!$B$8</f>
        <v>0</v>
      </c>
      <c r="I25" s="12"/>
      <c r="J25" s="12"/>
      <c r="K25" s="12"/>
    </row>
    <row r="26" spans="1:11" x14ac:dyDescent="0.25">
      <c r="A26" s="22" t="s">
        <v>30</v>
      </c>
      <c r="B26" s="27">
        <v>0</v>
      </c>
      <c r="C26" s="31">
        <v>1</v>
      </c>
      <c r="D26" s="27"/>
      <c r="E26" s="25">
        <f>B26/C26*Bedarf!$C36/Bedarf!$B$8</f>
        <v>0</v>
      </c>
      <c r="F26" s="25">
        <f>B26/C26*Bedarf!$C36/Bedarf!$B$8</f>
        <v>0</v>
      </c>
      <c r="I26" s="12"/>
      <c r="K26" s="12"/>
    </row>
    <row r="27" spans="1:11" x14ac:dyDescent="0.25">
      <c r="A27" s="22" t="s">
        <v>11</v>
      </c>
      <c r="B27" s="55">
        <v>4.2699999999999996</v>
      </c>
      <c r="C27" s="31">
        <v>0.16500000000000001</v>
      </c>
      <c r="D27" s="27"/>
      <c r="E27" s="25">
        <f>B27/C27*Bedarf!$C37/Bedarf!$B$8</f>
        <v>5.2029238067576727E-3</v>
      </c>
      <c r="F27" s="25">
        <f>B27/C27*Bedarf!$C37/Bedarf!$B$8</f>
        <v>5.2029238067576727E-3</v>
      </c>
      <c r="I27" s="12"/>
      <c r="K27" s="12"/>
    </row>
    <row r="28" spans="1:11" x14ac:dyDescent="0.25">
      <c r="A28" s="22" t="s">
        <v>34</v>
      </c>
      <c r="B28" s="27">
        <v>0</v>
      </c>
      <c r="C28" s="31">
        <v>1.1000000000000001</v>
      </c>
      <c r="D28" s="27"/>
      <c r="E28" s="25">
        <f>B28/C28*Bedarf!$C38/Bedarf!$B$8</f>
        <v>0</v>
      </c>
      <c r="F28" s="25">
        <f>B28/C28*Bedarf!$C38/Bedarf!$B$8</f>
        <v>0</v>
      </c>
      <c r="I28" s="12"/>
      <c r="K28" s="12"/>
    </row>
    <row r="29" spans="1:11" ht="15.75" thickBot="1" x14ac:dyDescent="0.3">
      <c r="A29" s="1" t="s">
        <v>59</v>
      </c>
      <c r="B29" s="21">
        <f>SUM(B5:B28)</f>
        <v>200.55500000000004</v>
      </c>
      <c r="D29" s="10"/>
      <c r="E29" s="21">
        <f>SUM(E5:E28)</f>
        <v>0.88244987736677605</v>
      </c>
      <c r="F29" s="21">
        <f>SUM(F5:F28)</f>
        <v>0.75890821070010928</v>
      </c>
      <c r="H29" s="1"/>
      <c r="I29" s="42"/>
      <c r="K29" s="42"/>
    </row>
    <row r="30" spans="1:11" ht="15.75" thickTop="1" x14ac:dyDescent="0.25"/>
    <row r="32" spans="1:11" x14ac:dyDescent="0.25">
      <c r="A32" t="s">
        <v>94</v>
      </c>
    </row>
    <row r="33" spans="1:4" x14ac:dyDescent="0.25">
      <c r="A33" t="s">
        <v>95</v>
      </c>
    </row>
    <row r="35" spans="1:4" x14ac:dyDescent="0.25">
      <c r="A35" s="40" t="s">
        <v>76</v>
      </c>
      <c r="B35" t="s">
        <v>79</v>
      </c>
      <c r="C35" s="8"/>
      <c r="D35" s="8"/>
    </row>
    <row r="36" spans="1:4" x14ac:dyDescent="0.25">
      <c r="A36" t="s">
        <v>62</v>
      </c>
      <c r="B36" s="12">
        <v>3</v>
      </c>
      <c r="C36" s="12"/>
    </row>
    <row r="37" spans="1:4" x14ac:dyDescent="0.25">
      <c r="A37" s="14" t="s">
        <v>67</v>
      </c>
      <c r="B37" s="15">
        <f>Bedarf!B8*Einkaufskalkulation!B36</f>
        <v>672</v>
      </c>
      <c r="C37" s="12"/>
    </row>
    <row r="38" spans="1:4" x14ac:dyDescent="0.25">
      <c r="A38" t="s">
        <v>63</v>
      </c>
      <c r="B38" s="12">
        <f>B29</f>
        <v>200.55500000000004</v>
      </c>
      <c r="C38" s="12"/>
    </row>
    <row r="39" spans="1:4" x14ac:dyDescent="0.25">
      <c r="A39" s="16"/>
      <c r="B39" s="12"/>
      <c r="C39" s="12"/>
    </row>
    <row r="40" spans="1:4" ht="15.75" thickBot="1" x14ac:dyDescent="0.3">
      <c r="A40" t="s">
        <v>100</v>
      </c>
      <c r="B40" s="19">
        <f>B37-B38</f>
        <v>471.44499999999994</v>
      </c>
      <c r="C40" s="12"/>
      <c r="D40" s="12"/>
    </row>
    <row r="41" spans="1:4" ht="15.75" thickTop="1" x14ac:dyDescent="0.25">
      <c r="B41" s="12"/>
      <c r="C41" s="12"/>
      <c r="D41" s="12"/>
    </row>
    <row r="42" spans="1:4" x14ac:dyDescent="0.25">
      <c r="A42" t="s">
        <v>101</v>
      </c>
      <c r="C42" s="12"/>
      <c r="D42" s="12"/>
    </row>
    <row r="43" spans="1:4" x14ac:dyDescent="0.25">
      <c r="A43" t="s">
        <v>64</v>
      </c>
      <c r="C43" s="4"/>
    </row>
    <row r="44" spans="1:4" x14ac:dyDescent="0.25">
      <c r="C44" s="4"/>
    </row>
    <row r="45" spans="1:4" x14ac:dyDescent="0.25">
      <c r="A45" s="59" t="s">
        <v>99</v>
      </c>
      <c r="B45" s="58"/>
      <c r="C45" s="60">
        <f>SUM(B5:B28)</f>
        <v>200.55500000000004</v>
      </c>
    </row>
    <row r="46" spans="1:4" x14ac:dyDescent="0.25">
      <c r="C46" s="4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668D8-2704-47D2-8CE8-CF32BF57ABDF}">
  <dimension ref="A1:E29"/>
  <sheetViews>
    <sheetView zoomScale="200" workbookViewId="0">
      <selection activeCell="B23" sqref="B23"/>
    </sheetView>
  </sheetViews>
  <sheetFormatPr baseColWidth="10" defaultColWidth="10.7109375" defaultRowHeight="15" x14ac:dyDescent="0.25"/>
  <cols>
    <col min="1" max="1" width="28.85546875" customWidth="1"/>
    <col min="2" max="2" width="9.28515625" customWidth="1"/>
    <col min="3" max="3" width="8.5703125" customWidth="1"/>
    <col min="4" max="4" width="11.7109375" customWidth="1"/>
  </cols>
  <sheetData>
    <row r="1" spans="1:4" ht="21" x14ac:dyDescent="0.35">
      <c r="A1" s="17" t="s">
        <v>104</v>
      </c>
    </row>
    <row r="2" spans="1:4" ht="18.75" x14ac:dyDescent="0.3">
      <c r="A2" s="18" t="s">
        <v>61</v>
      </c>
    </row>
    <row r="3" spans="1:4" ht="18.75" x14ac:dyDescent="0.3">
      <c r="A3" s="18"/>
    </row>
    <row r="4" spans="1:4" x14ac:dyDescent="0.25">
      <c r="A4" s="20" t="s">
        <v>82</v>
      </c>
    </row>
    <row r="5" spans="1:4" x14ac:dyDescent="0.25">
      <c r="B5" s="8"/>
      <c r="C5" s="34" t="s">
        <v>57</v>
      </c>
      <c r="D5" s="34" t="s">
        <v>56</v>
      </c>
    </row>
    <row r="6" spans="1:4" x14ac:dyDescent="0.25">
      <c r="A6" s="32" t="s">
        <v>2</v>
      </c>
      <c r="B6" s="33">
        <f>Bedarf!B6</f>
        <v>14</v>
      </c>
      <c r="C6" s="23">
        <f>Bedarf!B4</f>
        <v>8</v>
      </c>
      <c r="D6" s="23">
        <f>Bedarf!B5</f>
        <v>6</v>
      </c>
    </row>
    <row r="7" spans="1:4" x14ac:dyDescent="0.25">
      <c r="A7" s="22" t="s">
        <v>3</v>
      </c>
      <c r="B7" s="23">
        <f>Bedarf!B7</f>
        <v>16</v>
      </c>
      <c r="C7" s="23"/>
      <c r="D7" s="23"/>
    </row>
    <row r="8" spans="1:4" x14ac:dyDescent="0.25">
      <c r="A8" s="32" t="s">
        <v>40</v>
      </c>
      <c r="B8" s="33">
        <f>Bedarf!B8</f>
        <v>224</v>
      </c>
      <c r="C8" s="33">
        <f>Bedarf!C8</f>
        <v>128</v>
      </c>
      <c r="D8" s="33">
        <f>Bedarf!D8</f>
        <v>96</v>
      </c>
    </row>
    <row r="9" spans="1:4" x14ac:dyDescent="0.25">
      <c r="A9" s="22" t="s">
        <v>81</v>
      </c>
      <c r="B9" s="46">
        <v>224</v>
      </c>
      <c r="C9" s="5"/>
      <c r="D9" s="5"/>
    </row>
    <row r="10" spans="1:4" x14ac:dyDescent="0.25">
      <c r="A10" s="32" t="s">
        <v>89</v>
      </c>
      <c r="B10" s="23">
        <v>0</v>
      </c>
    </row>
    <row r="11" spans="1:4" ht="26.25" customHeight="1" x14ac:dyDescent="0.25">
      <c r="A11" s="1"/>
      <c r="B11" s="41">
        <f>B20/B17</f>
        <v>216</v>
      </c>
      <c r="C11" s="5"/>
      <c r="D11" s="5"/>
    </row>
    <row r="12" spans="1:4" x14ac:dyDescent="0.25">
      <c r="A12" s="20" t="s">
        <v>75</v>
      </c>
    </row>
    <row r="13" spans="1:4" x14ac:dyDescent="0.25">
      <c r="A13" s="22" t="s">
        <v>69</v>
      </c>
      <c r="B13" s="27">
        <f>Einkaufskalkulation!E29</f>
        <v>0.88244987736677605</v>
      </c>
    </row>
    <row r="14" spans="1:4" x14ac:dyDescent="0.25">
      <c r="A14" s="22" t="s">
        <v>70</v>
      </c>
      <c r="B14" s="27">
        <f>Einkaufskalkulation!F29</f>
        <v>0.75890821070010928</v>
      </c>
    </row>
    <row r="15" spans="1:4" ht="15.75" thickBot="1" x14ac:dyDescent="0.3">
      <c r="A15" s="22" t="s">
        <v>71</v>
      </c>
      <c r="B15" s="36">
        <f>(B13+B14)/2</f>
        <v>0.82067904403344261</v>
      </c>
    </row>
    <row r="16" spans="1:4" ht="15.75" thickTop="1" x14ac:dyDescent="0.25"/>
    <row r="17" spans="1:5" x14ac:dyDescent="0.25">
      <c r="A17" s="22" t="s">
        <v>62</v>
      </c>
      <c r="B17" s="27">
        <f>Einkaufskalkulation!B36</f>
        <v>3</v>
      </c>
    </row>
    <row r="18" spans="1:5" ht="15.75" thickBot="1" x14ac:dyDescent="0.3">
      <c r="A18" s="22" t="s">
        <v>72</v>
      </c>
      <c r="B18" s="36">
        <f>B17-B15</f>
        <v>2.1793209559665572</v>
      </c>
      <c r="C18" s="44" t="s">
        <v>73</v>
      </c>
      <c r="D18" s="43">
        <f>B18/B15</f>
        <v>2.6555094489262356</v>
      </c>
      <c r="E18" t="s">
        <v>80</v>
      </c>
    </row>
    <row r="19" spans="1:5" ht="28.5" customHeight="1" thickTop="1" x14ac:dyDescent="0.25">
      <c r="B19" s="42"/>
      <c r="C19" s="43"/>
      <c r="D19" s="43"/>
    </row>
    <row r="20" spans="1:5" x14ac:dyDescent="0.25">
      <c r="A20" s="32" t="s">
        <v>77</v>
      </c>
      <c r="B20" s="35">
        <v>648</v>
      </c>
    </row>
    <row r="21" spans="1:5" x14ac:dyDescent="0.25">
      <c r="A21" s="49"/>
      <c r="B21" s="50"/>
    </row>
    <row r="22" spans="1:5" x14ac:dyDescent="0.25">
      <c r="A22" s="37" t="s">
        <v>78</v>
      </c>
      <c r="B22" s="38">
        <f>Einkaufskalkulation!B29</f>
        <v>200.55500000000004</v>
      </c>
      <c r="C22" t="s">
        <v>105</v>
      </c>
    </row>
    <row r="23" spans="1:5" x14ac:dyDescent="0.25">
      <c r="A23" s="48" t="s">
        <v>85</v>
      </c>
      <c r="B23" s="47">
        <v>0</v>
      </c>
    </row>
    <row r="24" spans="1:5" x14ac:dyDescent="0.25">
      <c r="A24" s="48"/>
      <c r="B24" s="71">
        <f>B22-B23</f>
        <v>200.55500000000004</v>
      </c>
      <c r="C24" s="70" t="s">
        <v>106</v>
      </c>
      <c r="D24" s="70"/>
      <c r="E24" s="70"/>
    </row>
    <row r="25" spans="1:5" x14ac:dyDescent="0.25">
      <c r="A25" s="51" t="s">
        <v>68</v>
      </c>
      <c r="B25" s="52">
        <f>B20-B24</f>
        <v>447.44499999999994</v>
      </c>
    </row>
    <row r="26" spans="1:5" x14ac:dyDescent="0.25">
      <c r="A26" s="51" t="s">
        <v>87</v>
      </c>
      <c r="B26" s="52">
        <v>0</v>
      </c>
      <c r="C26" t="s">
        <v>74</v>
      </c>
    </row>
    <row r="27" spans="1:5" x14ac:dyDescent="0.25">
      <c r="A27" s="53" t="s">
        <v>91</v>
      </c>
      <c r="B27" s="54">
        <f>B25+B26</f>
        <v>447.44499999999994</v>
      </c>
      <c r="C27" t="s">
        <v>90</v>
      </c>
    </row>
    <row r="29" spans="1:5" x14ac:dyDescent="0.25">
      <c r="A29" s="45" t="s">
        <v>86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Pizzateig</vt:lpstr>
      <vt:lpstr>Tomatensoße</vt:lpstr>
      <vt:lpstr>Käsemischung</vt:lpstr>
      <vt:lpstr>Einkaufsliste</vt:lpstr>
      <vt:lpstr>Bedarf</vt:lpstr>
      <vt:lpstr>Einkaufskalkulation</vt:lpstr>
      <vt:lpstr>Abrechnung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Weber</dc:creator>
  <cp:lastModifiedBy>Joachim Weber</cp:lastModifiedBy>
  <cp:lastPrinted>2025-11-30T12:03:30Z</cp:lastPrinted>
  <dcterms:created xsi:type="dcterms:W3CDTF">2023-11-29T07:10:23Z</dcterms:created>
  <dcterms:modified xsi:type="dcterms:W3CDTF">2025-11-30T12:03:32Z</dcterms:modified>
</cp:coreProperties>
</file>